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7305" activeTab="3"/>
  </bookViews>
  <sheets>
    <sheet name="BalanceSheet" sheetId="1" r:id="rId1"/>
    <sheet name="PartA1-Income" sheetId="2" r:id="rId2"/>
    <sheet name="Equity" sheetId="3" r:id="rId3"/>
    <sheet name="Cashflow" sheetId="4" r:id="rId4"/>
  </sheets>
  <externalReferences>
    <externalReference r:id="rId7"/>
  </externalReferences>
  <definedNames>
    <definedName name="_xlnm.Print_Area" localSheetId="0">'BalanceSheet'!$A$1:$G$66</definedName>
    <definedName name="_xlnm.Print_Area" localSheetId="3">'Cashflow'!$A$1:$I$66</definedName>
  </definedNames>
  <calcPr fullCalcOnLoad="1"/>
</workbook>
</file>

<file path=xl/sharedStrings.xml><?xml version="1.0" encoding="utf-8"?>
<sst xmlns="http://schemas.openxmlformats.org/spreadsheetml/2006/main" count="135" uniqueCount="95">
  <si>
    <t>KNUSFORD BERHAD (380100-D)</t>
  </si>
  <si>
    <t>Revenue</t>
  </si>
  <si>
    <t>RM'000</t>
  </si>
  <si>
    <t>Taxation</t>
  </si>
  <si>
    <t>EPS - Basic (sen)</t>
  </si>
  <si>
    <t>Inventories</t>
  </si>
  <si>
    <t>Reserves</t>
  </si>
  <si>
    <t>Total</t>
  </si>
  <si>
    <t>Net profit for the period</t>
  </si>
  <si>
    <t>Interest expense</t>
  </si>
  <si>
    <t>Interest income</t>
  </si>
  <si>
    <t>At</t>
  </si>
  <si>
    <t>Property, plant and equipment</t>
  </si>
  <si>
    <t>Condensed consolidated balance sheet</t>
  </si>
  <si>
    <t>Current assets</t>
  </si>
  <si>
    <t>Short term borrowings</t>
  </si>
  <si>
    <t>Net current assets</t>
  </si>
  <si>
    <t>Share capital</t>
  </si>
  <si>
    <t>Long term liabilities</t>
  </si>
  <si>
    <t>Current liabilities</t>
  </si>
  <si>
    <t>Condensed consolidated income statement</t>
  </si>
  <si>
    <t>3 months ended</t>
  </si>
  <si>
    <t>Profit before taxation</t>
  </si>
  <si>
    <t>Profit after taxation</t>
  </si>
  <si>
    <t xml:space="preserve">(The condensed consolidated income statement should be read in conjunction with </t>
  </si>
  <si>
    <t>(The condensed consolidated statements of changes in equity should be read in conjunction with</t>
  </si>
  <si>
    <t>(The condensed consolidated balance sheet should be read in conjunction with</t>
  </si>
  <si>
    <t>Share</t>
  </si>
  <si>
    <t>premium</t>
  </si>
  <si>
    <t>capital</t>
  </si>
  <si>
    <t>Retained</t>
  </si>
  <si>
    <t>Non-distributable</t>
  </si>
  <si>
    <t>Distributable</t>
  </si>
  <si>
    <t>31 December</t>
  </si>
  <si>
    <t>Operating profits</t>
  </si>
  <si>
    <t>Condensed consolidated cash flow statement</t>
  </si>
  <si>
    <t>Condensed consolidated statement of changes in equity</t>
  </si>
  <si>
    <t>profits</t>
  </si>
  <si>
    <t>Capital and reserves</t>
  </si>
  <si>
    <t>At 1 January 2003</t>
  </si>
  <si>
    <t>Net tangible assets per share (RM)</t>
  </si>
  <si>
    <t>2003</t>
  </si>
  <si>
    <t>Adjustments for :</t>
  </si>
  <si>
    <t>Depreciation</t>
  </si>
  <si>
    <t>Gain on disposal of property, plant and equipment</t>
  </si>
  <si>
    <t>Changes in working capital</t>
  </si>
  <si>
    <t>Tax paid</t>
  </si>
  <si>
    <t>Interest received</t>
  </si>
  <si>
    <t>Purchase of property, plant and equipment</t>
  </si>
  <si>
    <t>Proceed from disposal of property, plant and equipment</t>
  </si>
  <si>
    <t>Deposits pledged with banks</t>
  </si>
  <si>
    <t>Interest paid</t>
  </si>
  <si>
    <t>Cash and cash equivalents at end of period</t>
  </si>
  <si>
    <t>Cash flows from operating activities</t>
  </si>
  <si>
    <t>Amortisation of reserve on consolidation</t>
  </si>
  <si>
    <t>Operating profit before working capital changes</t>
  </si>
  <si>
    <t>Trade and other payables</t>
  </si>
  <si>
    <t>Cash flows from investing activities</t>
  </si>
  <si>
    <t>Cash flows from financing activities</t>
  </si>
  <si>
    <t>Repayment of bank borrowings</t>
  </si>
  <si>
    <t>(The condensed consolidated cash flow statement should be read in conjunction with</t>
  </si>
  <si>
    <t>Trade and other receivables</t>
  </si>
  <si>
    <t>Acquisition of subsidiary, net of cash acquired</t>
  </si>
  <si>
    <t>Dividends</t>
  </si>
  <si>
    <t>Proceed from issuance of share capital</t>
  </si>
  <si>
    <t>Dividend paid</t>
  </si>
  <si>
    <t>Short term deposits</t>
  </si>
  <si>
    <t>Cash &amp; bank balance</t>
  </si>
  <si>
    <t>Deposits pledged with bank</t>
  </si>
  <si>
    <t>Issuance of share capital</t>
  </si>
  <si>
    <t xml:space="preserve"> </t>
  </si>
  <si>
    <t>EPS - Diluted (sen)</t>
  </si>
  <si>
    <t>Net increase / (decrease) in cash and cash equivalents</t>
  </si>
  <si>
    <t>Cash and cash equivalents at beginning of period</t>
  </si>
  <si>
    <t>Cash generated from operations</t>
  </si>
  <si>
    <t>Net cash outflow from operating activities</t>
  </si>
  <si>
    <t>Net cash generated / (used) in financing activities</t>
  </si>
  <si>
    <t>Net cash generated / (used) in investing activities</t>
  </si>
  <si>
    <t>Add : Minority Interest</t>
  </si>
  <si>
    <t>2004</t>
  </si>
  <si>
    <t>At 1 January 2004</t>
  </si>
  <si>
    <t>the financial statements for the year ended 31 December 2003)</t>
  </si>
  <si>
    <t>Properties under development</t>
  </si>
  <si>
    <t>Deferred tax assets</t>
  </si>
  <si>
    <t>Cash and cash equivalents</t>
  </si>
  <si>
    <t>Deferred tax liabilities</t>
  </si>
  <si>
    <t>Negative goodwill</t>
  </si>
  <si>
    <t>Shareholders' funds</t>
  </si>
  <si>
    <t>Cumulative</t>
  </si>
  <si>
    <t>Current</t>
  </si>
  <si>
    <t>For the period ended 30 June 2004</t>
  </si>
  <si>
    <t>30 June</t>
  </si>
  <si>
    <t>At 30 June 2004</t>
  </si>
  <si>
    <t>6 months ended</t>
  </si>
  <si>
    <t>At 30 June 2003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</si>
</sst>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0.0%"/>
    <numFmt numFmtId="183" formatCode="0.0"/>
    <numFmt numFmtId="184" formatCode="#,##0.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(* #,##0.0000_);_(* \(#,##0.0000\);_(* &quot;-&quot;????_);_(@_)"/>
    <numFmt numFmtId="190" formatCode="#,##0.0000_);\(#,##0.000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79" fontId="0" fillId="0" borderId="0" xfId="15" applyNumberFormat="1" applyAlignment="1">
      <alignment/>
    </xf>
    <xf numFmtId="179" fontId="0" fillId="0" borderId="1" xfId="15" applyNumberFormat="1" applyBorder="1" applyAlignment="1">
      <alignment/>
    </xf>
    <xf numFmtId="179" fontId="0" fillId="0" borderId="2" xfId="15" applyNumberFormat="1" applyBorder="1" applyAlignment="1">
      <alignment/>
    </xf>
    <xf numFmtId="179" fontId="0" fillId="0" borderId="3" xfId="15" applyNumberFormat="1" applyBorder="1" applyAlignment="1">
      <alignment/>
    </xf>
    <xf numFmtId="0" fontId="0" fillId="0" borderId="0" xfId="0" applyBorder="1" applyAlignment="1">
      <alignment/>
    </xf>
    <xf numFmtId="179" fontId="0" fillId="0" borderId="0" xfId="15" applyNumberFormat="1" applyBorder="1" applyAlignment="1">
      <alignment/>
    </xf>
    <xf numFmtId="179" fontId="0" fillId="0" borderId="4" xfId="15" applyNumberFormat="1" applyBorder="1" applyAlignment="1">
      <alignment/>
    </xf>
    <xf numFmtId="17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Border="1" applyAlignment="1">
      <alignment/>
    </xf>
    <xf numFmtId="179" fontId="0" fillId="0" borderId="5" xfId="15" applyNumberFormat="1" applyBorder="1" applyAlignment="1">
      <alignment/>
    </xf>
    <xf numFmtId="179" fontId="0" fillId="0" borderId="1" xfId="15" applyNumberFormat="1" applyBorder="1" applyAlignment="1">
      <alignment horizontal="center"/>
    </xf>
    <xf numFmtId="179" fontId="0" fillId="0" borderId="0" xfId="15" applyNumberFormat="1" applyBorder="1" applyAlignment="1">
      <alignment horizontal="center"/>
    </xf>
    <xf numFmtId="179" fontId="0" fillId="0" borderId="0" xfId="15" applyNumberFormat="1" applyAlignment="1">
      <alignment horizontal="center"/>
    </xf>
    <xf numFmtId="179" fontId="0" fillId="0" borderId="4" xfId="15" applyNumberFormat="1" applyFont="1" applyBorder="1" applyAlignment="1">
      <alignment/>
    </xf>
    <xf numFmtId="179" fontId="0" fillId="0" borderId="0" xfId="15" applyNumberFormat="1" applyFont="1" applyAlignment="1">
      <alignment/>
    </xf>
    <xf numFmtId="181" fontId="0" fillId="0" borderId="0" xfId="15" applyNumberFormat="1" applyBorder="1" applyAlignment="1">
      <alignment/>
    </xf>
    <xf numFmtId="0" fontId="0" fillId="0" borderId="0" xfId="0" applyFont="1" applyAlignment="1">
      <alignment/>
    </xf>
    <xf numFmtId="37" fontId="0" fillId="0" borderId="0" xfId="15" applyNumberFormat="1" applyFont="1" applyBorder="1" applyAlignment="1">
      <alignment/>
    </xf>
    <xf numFmtId="37" fontId="1" fillId="0" borderId="6" xfId="15" applyNumberFormat="1" applyFont="1" applyBorder="1" applyAlignment="1">
      <alignment/>
    </xf>
    <xf numFmtId="37" fontId="1" fillId="0" borderId="0" xfId="15" applyNumberFormat="1" applyFont="1" applyBorder="1" applyAlignment="1">
      <alignment/>
    </xf>
    <xf numFmtId="37" fontId="1" fillId="0" borderId="7" xfId="15" applyNumberFormat="1" applyFont="1" applyBorder="1" applyAlignment="1">
      <alignment/>
    </xf>
    <xf numFmtId="0" fontId="6" fillId="0" borderId="0" xfId="0" applyFont="1" applyAlignment="1">
      <alignment/>
    </xf>
    <xf numFmtId="179" fontId="0" fillId="0" borderId="0" xfId="15" applyNumberFormat="1" applyFont="1" applyBorder="1" applyAlignment="1">
      <alignment/>
    </xf>
    <xf numFmtId="37" fontId="0" fillId="0" borderId="0" xfId="15" applyNumberFormat="1" applyFont="1" applyAlignment="1">
      <alignment/>
    </xf>
    <xf numFmtId="37" fontId="0" fillId="0" borderId="1" xfId="15" applyNumberFormat="1" applyFont="1" applyBorder="1" applyAlignment="1">
      <alignment/>
    </xf>
    <xf numFmtId="0" fontId="0" fillId="0" borderId="0" xfId="0" applyFont="1" applyBorder="1" applyAlignment="1">
      <alignment/>
    </xf>
    <xf numFmtId="38" fontId="6" fillId="0" borderId="0" xfId="0" applyNumberFormat="1" applyFont="1" applyAlignment="1">
      <alignment/>
    </xf>
    <xf numFmtId="38" fontId="6" fillId="0" borderId="7" xfId="0" applyNumberFormat="1" applyFont="1" applyBorder="1" applyAlignment="1">
      <alignment/>
    </xf>
    <xf numFmtId="38" fontId="6" fillId="0" borderId="1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37" fontId="0" fillId="0" borderId="0" xfId="0" applyNumberFormat="1" applyFont="1" applyAlignment="1">
      <alignment/>
    </xf>
    <xf numFmtId="179" fontId="1" fillId="0" borderId="0" xfId="0" applyNumberFormat="1" applyFont="1" applyBorder="1" applyAlignment="1">
      <alignment/>
    </xf>
    <xf numFmtId="4" fontId="0" fillId="0" borderId="2" xfId="15" applyNumberFormat="1" applyBorder="1" applyAlignment="1">
      <alignment/>
    </xf>
    <xf numFmtId="4" fontId="0" fillId="0" borderId="0" xfId="15" applyNumberFormat="1" applyBorder="1" applyAlignment="1">
      <alignment/>
    </xf>
    <xf numFmtId="4" fontId="0" fillId="0" borderId="0" xfId="0" applyNumberFormat="1" applyAlignment="1">
      <alignment/>
    </xf>
    <xf numFmtId="4" fontId="0" fillId="0" borderId="0" xfId="15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179" fontId="0" fillId="0" borderId="0" xfId="15" applyNumberFormat="1" applyFont="1" applyBorder="1" applyAlignment="1">
      <alignment/>
    </xf>
    <xf numFmtId="15" fontId="1" fillId="0" borderId="0" xfId="0" applyNumberFormat="1" applyFont="1" applyAlignment="1">
      <alignment horizontal="center"/>
    </xf>
    <xf numFmtId="37" fontId="8" fillId="0" borderId="0" xfId="15" applyNumberFormat="1" applyFont="1" applyBorder="1" applyAlignment="1">
      <alignment/>
    </xf>
    <xf numFmtId="179" fontId="0" fillId="0" borderId="0" xfId="15" applyNumberFormat="1" applyFont="1" applyAlignment="1">
      <alignment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in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BS"/>
      <sheetName val="NewEPS"/>
      <sheetName val="Neg gw"/>
      <sheetName val="Sheet1"/>
    </sheetNames>
    <sheetDataSet>
      <sheetData sheetId="1">
        <row r="35">
          <cell r="G35">
            <v>2.5759905381431105</v>
          </cell>
          <cell r="H35">
            <v>4.978961297961361</v>
          </cell>
        </row>
        <row r="36">
          <cell r="G36">
            <v>2.561074241268348</v>
          </cell>
          <cell r="H36">
            <v>4.949976082385832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5"/>
  <sheetViews>
    <sheetView zoomScale="75" zoomScaleNormal="75" workbookViewId="0" topLeftCell="A31">
      <selection activeCell="I56" sqref="I56"/>
    </sheetView>
  </sheetViews>
  <sheetFormatPr defaultColWidth="9.140625" defaultRowHeight="12.75"/>
  <cols>
    <col min="1" max="2" width="1.7109375" style="0" customWidth="1"/>
    <col min="3" max="3" width="35.7109375" style="0" customWidth="1"/>
    <col min="4" max="4" width="10.7109375" style="0" customWidth="1"/>
    <col min="5" max="5" width="15.00390625" style="0" bestFit="1" customWidth="1"/>
    <col min="6" max="6" width="5.7109375" style="0" customWidth="1"/>
    <col min="7" max="7" width="15.00390625" style="0" bestFit="1" customWidth="1"/>
    <col min="8" max="8" width="2.57421875" style="0" customWidth="1"/>
  </cols>
  <sheetData>
    <row r="1" ht="5.25" customHeight="1"/>
    <row r="2" ht="16.5">
      <c r="B2" s="15" t="s">
        <v>0</v>
      </c>
    </row>
    <row r="3" ht="12" customHeight="1">
      <c r="B3" s="15"/>
    </row>
    <row r="4" ht="15.75">
      <c r="B4" s="13" t="s">
        <v>13</v>
      </c>
    </row>
    <row r="5" ht="12.75">
      <c r="B5" s="2" t="s">
        <v>92</v>
      </c>
    </row>
    <row r="6" ht="12.75">
      <c r="G6" s="11"/>
    </row>
    <row r="7" spans="5:7" ht="12.75">
      <c r="E7" s="11" t="s">
        <v>11</v>
      </c>
      <c r="G7" s="11" t="s">
        <v>11</v>
      </c>
    </row>
    <row r="8" spans="5:7" ht="12.75">
      <c r="E8" s="16" t="s">
        <v>91</v>
      </c>
      <c r="F8" s="2"/>
      <c r="G8" s="16" t="s">
        <v>33</v>
      </c>
    </row>
    <row r="9" spans="5:7" ht="12.75">
      <c r="E9" s="16" t="s">
        <v>79</v>
      </c>
      <c r="F9" s="2"/>
      <c r="G9" s="16" t="s">
        <v>41</v>
      </c>
    </row>
    <row r="10" spans="5:7" ht="12.75" customHeight="1">
      <c r="E10" s="11" t="s">
        <v>2</v>
      </c>
      <c r="F10" s="2"/>
      <c r="G10" s="11" t="s">
        <v>2</v>
      </c>
    </row>
    <row r="11" spans="5:7" s="7" customFormat="1" ht="12.75" customHeight="1">
      <c r="E11" s="8"/>
      <c r="G11" s="8"/>
    </row>
    <row r="12" spans="2:10" s="7" customFormat="1" ht="12.75" customHeight="1">
      <c r="B12" s="7" t="s">
        <v>12</v>
      </c>
      <c r="E12" s="8">
        <v>40208</v>
      </c>
      <c r="G12" s="8">
        <v>40654</v>
      </c>
      <c r="J12" s="10">
        <f>+E12-G12</f>
        <v>-446</v>
      </c>
    </row>
    <row r="13" spans="5:10" s="7" customFormat="1" ht="12.75" customHeight="1">
      <c r="E13" s="8"/>
      <c r="G13" s="8"/>
      <c r="J13" s="10">
        <f>+E13-G13</f>
        <v>0</v>
      </c>
    </row>
    <row r="14" spans="2:10" ht="12.75" customHeight="1">
      <c r="B14" t="s">
        <v>82</v>
      </c>
      <c r="E14" s="3">
        <f>21763+16110</f>
        <v>37873</v>
      </c>
      <c r="G14" s="3">
        <v>32874</v>
      </c>
      <c r="J14" s="10">
        <f>+E14-G14</f>
        <v>4999</v>
      </c>
    </row>
    <row r="15" spans="5:10" ht="12.75" customHeight="1">
      <c r="E15" s="3"/>
      <c r="G15" s="3"/>
      <c r="J15" s="10">
        <f>+E15-G15</f>
        <v>0</v>
      </c>
    </row>
    <row r="16" spans="2:10" ht="12.75" customHeight="1">
      <c r="B16" t="s">
        <v>83</v>
      </c>
      <c r="E16" s="3">
        <v>687</v>
      </c>
      <c r="G16" s="3">
        <v>687</v>
      </c>
      <c r="J16" s="10">
        <f>+E16-G16</f>
        <v>0</v>
      </c>
    </row>
    <row r="17" spans="5:7" ht="12.75" customHeight="1">
      <c r="E17" s="3"/>
      <c r="G17" s="3"/>
    </row>
    <row r="18" spans="2:8" ht="12.75" customHeight="1">
      <c r="B18" t="s">
        <v>14</v>
      </c>
      <c r="D18" s="7"/>
      <c r="E18" s="8"/>
      <c r="F18" s="7"/>
      <c r="G18" s="8"/>
      <c r="H18" s="7"/>
    </row>
    <row r="19" spans="4:8" ht="5.25" customHeight="1">
      <c r="D19" s="7"/>
      <c r="E19" s="6"/>
      <c r="F19" s="7"/>
      <c r="G19" s="6"/>
      <c r="H19" s="7"/>
    </row>
    <row r="20" spans="3:10" ht="12.75" customHeight="1">
      <c r="C20" t="s">
        <v>5</v>
      </c>
      <c r="D20" s="7"/>
      <c r="E20" s="9">
        <v>23221</v>
      </c>
      <c r="F20" s="7"/>
      <c r="G20" s="9">
        <v>25337</v>
      </c>
      <c r="H20" s="7"/>
      <c r="J20" s="10">
        <f>+E20-G20</f>
        <v>-2116</v>
      </c>
    </row>
    <row r="21" spans="3:10" ht="12.75" customHeight="1">
      <c r="C21" t="s">
        <v>82</v>
      </c>
      <c r="D21" s="7"/>
      <c r="E21" s="9">
        <v>16123</v>
      </c>
      <c r="F21" s="7"/>
      <c r="G21" s="9">
        <v>15530</v>
      </c>
      <c r="H21" s="7"/>
      <c r="J21" s="10">
        <f>+E21-G21</f>
        <v>593</v>
      </c>
    </row>
    <row r="22" spans="3:10" ht="12.75" customHeight="1">
      <c r="C22" t="s">
        <v>61</v>
      </c>
      <c r="D22" s="7"/>
      <c r="E22" s="9">
        <f>47654+2719+4880-288</f>
        <v>54965</v>
      </c>
      <c r="F22" s="7"/>
      <c r="G22" s="9">
        <f>73496+5570-20124</f>
        <v>58942</v>
      </c>
      <c r="H22" s="7"/>
      <c r="J22" s="10">
        <f aca="true" t="shared" si="0" ref="J22:J54">+E22-G22</f>
        <v>-3977</v>
      </c>
    </row>
    <row r="23" spans="3:10" ht="12.75" customHeight="1">
      <c r="C23" t="s">
        <v>84</v>
      </c>
      <c r="D23" s="7"/>
      <c r="E23" s="9">
        <f>43423+2412</f>
        <v>45835</v>
      </c>
      <c r="F23" s="7"/>
      <c r="G23" s="9">
        <v>45834</v>
      </c>
      <c r="H23" s="7"/>
      <c r="J23" s="10">
        <f t="shared" si="0"/>
        <v>1</v>
      </c>
    </row>
    <row r="24" spans="4:10" ht="5.25" customHeight="1">
      <c r="D24" s="7"/>
      <c r="E24" s="18"/>
      <c r="F24" s="7"/>
      <c r="G24" s="18"/>
      <c r="H24" s="7"/>
      <c r="J24" s="10">
        <f t="shared" si="0"/>
        <v>0</v>
      </c>
    </row>
    <row r="25" spans="4:10" ht="5.25" customHeight="1">
      <c r="D25" s="7"/>
      <c r="E25" s="9"/>
      <c r="F25" s="7"/>
      <c r="G25" s="9"/>
      <c r="H25" s="7"/>
      <c r="J25" s="10">
        <f t="shared" si="0"/>
        <v>0</v>
      </c>
    </row>
    <row r="26" spans="4:10" ht="12.75" customHeight="1">
      <c r="D26" s="7"/>
      <c r="E26" s="18">
        <f>SUM(E19:E25)</f>
        <v>140144</v>
      </c>
      <c r="F26" s="7"/>
      <c r="G26" s="18">
        <f>SUM(G19:G25)</f>
        <v>145643</v>
      </c>
      <c r="H26" s="7"/>
      <c r="J26" s="10">
        <f t="shared" si="0"/>
        <v>-5499</v>
      </c>
    </row>
    <row r="27" spans="4:10" ht="12.75" customHeight="1">
      <c r="D27" s="7"/>
      <c r="E27" s="8"/>
      <c r="F27" s="7"/>
      <c r="G27" s="8"/>
      <c r="H27" s="7"/>
      <c r="J27" s="10">
        <f t="shared" si="0"/>
        <v>0</v>
      </c>
    </row>
    <row r="28" spans="2:10" ht="12.75" customHeight="1">
      <c r="B28" t="s">
        <v>19</v>
      </c>
      <c r="D28" s="7"/>
      <c r="E28" s="8"/>
      <c r="F28" s="7"/>
      <c r="G28" s="8"/>
      <c r="H28" s="7"/>
      <c r="J28" s="10">
        <f t="shared" si="0"/>
        <v>0</v>
      </c>
    </row>
    <row r="29" spans="4:10" ht="5.25" customHeight="1">
      <c r="D29" s="7"/>
      <c r="E29" s="6"/>
      <c r="F29" s="7"/>
      <c r="G29" s="6"/>
      <c r="H29" s="7"/>
      <c r="J29" s="10">
        <f t="shared" si="0"/>
        <v>0</v>
      </c>
    </row>
    <row r="30" spans="3:10" ht="12.75" customHeight="1">
      <c r="C30" t="s">
        <v>56</v>
      </c>
      <c r="D30" s="7"/>
      <c r="E30" s="22">
        <f>28720+6488+1048</f>
        <v>36256</v>
      </c>
      <c r="F30" s="7"/>
      <c r="G30" s="22">
        <f>59479-20124</f>
        <v>39355</v>
      </c>
      <c r="H30" s="7"/>
      <c r="J30" s="10">
        <f t="shared" si="0"/>
        <v>-3099</v>
      </c>
    </row>
    <row r="31" spans="3:10" ht="12.75" customHeight="1">
      <c r="C31" t="s">
        <v>15</v>
      </c>
      <c r="D31" s="7"/>
      <c r="E31" s="9">
        <f>1994+1000</f>
        <v>2994</v>
      </c>
      <c r="F31" s="7"/>
      <c r="G31" s="9">
        <v>3733</v>
      </c>
      <c r="H31" s="7"/>
      <c r="J31" s="10">
        <f t="shared" si="0"/>
        <v>-739</v>
      </c>
    </row>
    <row r="32" spans="3:10" ht="12.75" customHeight="1">
      <c r="C32" t="s">
        <v>3</v>
      </c>
      <c r="D32" s="7"/>
      <c r="E32" s="9">
        <v>1057</v>
      </c>
      <c r="F32" s="7"/>
      <c r="G32" s="9">
        <v>646</v>
      </c>
      <c r="H32" s="7"/>
      <c r="J32" s="10">
        <f t="shared" si="0"/>
        <v>411</v>
      </c>
    </row>
    <row r="33" spans="4:10" ht="5.25" customHeight="1">
      <c r="D33" s="7"/>
      <c r="E33" s="18"/>
      <c r="F33" s="7"/>
      <c r="G33" s="18"/>
      <c r="H33" s="7"/>
      <c r="J33" s="10">
        <f t="shared" si="0"/>
        <v>0</v>
      </c>
    </row>
    <row r="34" spans="4:10" ht="5.25" customHeight="1">
      <c r="D34" s="7"/>
      <c r="E34" s="9"/>
      <c r="F34" s="7"/>
      <c r="G34" s="9"/>
      <c r="H34" s="7"/>
      <c r="J34" s="10">
        <f t="shared" si="0"/>
        <v>0</v>
      </c>
    </row>
    <row r="35" spans="4:10" ht="12.75" customHeight="1">
      <c r="D35" s="7"/>
      <c r="E35" s="18">
        <f>SUM(E29:E34)</f>
        <v>40307</v>
      </c>
      <c r="F35" s="7"/>
      <c r="G35" s="18">
        <f>SUM(G29:G34)</f>
        <v>43734</v>
      </c>
      <c r="H35" s="7"/>
      <c r="J35" s="10">
        <f t="shared" si="0"/>
        <v>-3427</v>
      </c>
    </row>
    <row r="36" spans="4:10" ht="12.75" customHeight="1">
      <c r="D36" s="7"/>
      <c r="E36" s="8"/>
      <c r="F36" s="7"/>
      <c r="G36" s="8"/>
      <c r="H36" s="7"/>
      <c r="J36" s="10">
        <f t="shared" si="0"/>
        <v>0</v>
      </c>
    </row>
    <row r="37" spans="2:10" ht="12.75" customHeight="1">
      <c r="B37" t="s">
        <v>16</v>
      </c>
      <c r="E37" s="3">
        <f>E26-E35</f>
        <v>99837</v>
      </c>
      <c r="G37" s="3">
        <f>G26-G35</f>
        <v>101909</v>
      </c>
      <c r="J37" s="10">
        <f t="shared" si="0"/>
        <v>-2072</v>
      </c>
    </row>
    <row r="38" spans="5:10" ht="12.75" customHeight="1">
      <c r="E38" s="4"/>
      <c r="G38" s="4"/>
      <c r="J38" s="10">
        <f t="shared" si="0"/>
        <v>0</v>
      </c>
    </row>
    <row r="39" spans="5:10" ht="5.25" customHeight="1">
      <c r="E39" s="8"/>
      <c r="F39" s="7"/>
      <c r="G39" s="8"/>
      <c r="J39" s="10">
        <f t="shared" si="0"/>
        <v>0</v>
      </c>
    </row>
    <row r="40" spans="5:10" ht="12.75" customHeight="1" thickBot="1">
      <c r="E40" s="5">
        <f>E37+E14+E12+E16</f>
        <v>178605</v>
      </c>
      <c r="F40" s="7"/>
      <c r="G40" s="5">
        <f>G37+G14+G12+G16</f>
        <v>176124</v>
      </c>
      <c r="J40" s="10">
        <f t="shared" si="0"/>
        <v>2481</v>
      </c>
    </row>
    <row r="41" spans="5:10" ht="12.75" customHeight="1" thickTop="1">
      <c r="E41" s="8"/>
      <c r="F41" s="7"/>
      <c r="G41" s="8"/>
      <c r="J41" s="10">
        <f t="shared" si="0"/>
        <v>0</v>
      </c>
    </row>
    <row r="42" spans="5:10" ht="12.75" customHeight="1">
      <c r="E42" s="3"/>
      <c r="G42" s="3"/>
      <c r="J42" s="10">
        <f t="shared" si="0"/>
        <v>0</v>
      </c>
    </row>
    <row r="43" spans="2:10" ht="12.75" customHeight="1">
      <c r="B43" t="s">
        <v>38</v>
      </c>
      <c r="E43" s="3"/>
      <c r="G43" s="3"/>
      <c r="J43" s="10">
        <f t="shared" si="0"/>
        <v>0</v>
      </c>
    </row>
    <row r="44" spans="5:10" ht="12.75" customHeight="1">
      <c r="E44" s="3"/>
      <c r="G44" s="3"/>
      <c r="J44" s="10">
        <f t="shared" si="0"/>
        <v>0</v>
      </c>
    </row>
    <row r="45" spans="3:10" ht="12.75" customHeight="1">
      <c r="C45" t="s">
        <v>17</v>
      </c>
      <c r="D45" s="7"/>
      <c r="E45" s="8">
        <v>99149</v>
      </c>
      <c r="F45" s="7"/>
      <c r="G45" s="8">
        <v>97529</v>
      </c>
      <c r="J45" s="10">
        <f t="shared" si="0"/>
        <v>1620</v>
      </c>
    </row>
    <row r="46" spans="3:10" ht="12.75" customHeight="1">
      <c r="C46" t="s">
        <v>6</v>
      </c>
      <c r="D46" s="7"/>
      <c r="E46" s="49">
        <v>63612</v>
      </c>
      <c r="F46" s="7"/>
      <c r="G46" s="8">
        <v>58322</v>
      </c>
      <c r="J46" s="10">
        <f t="shared" si="0"/>
        <v>5290</v>
      </c>
    </row>
    <row r="47" spans="4:10" ht="5.25" customHeight="1">
      <c r="D47" s="7"/>
      <c r="E47" s="4"/>
      <c r="F47" s="7"/>
      <c r="G47" s="4"/>
      <c r="J47" s="10">
        <f t="shared" si="0"/>
        <v>0</v>
      </c>
    </row>
    <row r="48" spans="4:10" ht="5.25" customHeight="1">
      <c r="D48" s="7"/>
      <c r="E48" s="8"/>
      <c r="F48" s="7"/>
      <c r="G48" s="8"/>
      <c r="J48" s="10">
        <f t="shared" si="0"/>
        <v>0</v>
      </c>
    </row>
    <row r="49" spans="2:10" ht="12.75" customHeight="1">
      <c r="B49" t="s">
        <v>87</v>
      </c>
      <c r="D49" s="7"/>
      <c r="E49" s="8">
        <f>SUM(E45:E47)</f>
        <v>162761</v>
      </c>
      <c r="F49" s="7"/>
      <c r="G49" s="8">
        <f>SUM(G45:G47)</f>
        <v>155851</v>
      </c>
      <c r="J49" s="10">
        <f t="shared" si="0"/>
        <v>6910</v>
      </c>
    </row>
    <row r="50" spans="4:10" ht="12.75" customHeight="1">
      <c r="D50" s="7"/>
      <c r="E50" s="8"/>
      <c r="F50" s="7"/>
      <c r="G50" s="8"/>
      <c r="J50" s="10">
        <f t="shared" si="0"/>
        <v>0</v>
      </c>
    </row>
    <row r="51" spans="2:10" ht="12.75" customHeight="1">
      <c r="B51" t="s">
        <v>86</v>
      </c>
      <c r="E51" s="3">
        <v>3448</v>
      </c>
      <c r="G51" s="3">
        <v>6895</v>
      </c>
      <c r="J51" s="10">
        <f t="shared" si="0"/>
        <v>-3447</v>
      </c>
    </row>
    <row r="52" spans="5:10" ht="12.75" customHeight="1">
      <c r="E52" s="3"/>
      <c r="G52" s="3"/>
      <c r="J52" s="10">
        <f t="shared" si="0"/>
        <v>0</v>
      </c>
    </row>
    <row r="53" spans="2:10" ht="12.75" customHeight="1">
      <c r="B53" t="s">
        <v>18</v>
      </c>
      <c r="E53" s="3">
        <v>9462</v>
      </c>
      <c r="G53" s="3">
        <v>10444</v>
      </c>
      <c r="J53" s="10">
        <f t="shared" si="0"/>
        <v>-982</v>
      </c>
    </row>
    <row r="54" spans="2:10" ht="12.75" customHeight="1">
      <c r="B54" t="s">
        <v>85</v>
      </c>
      <c r="E54" s="3">
        <f>G54</f>
        <v>2934</v>
      </c>
      <c r="G54" s="3">
        <v>2934</v>
      </c>
      <c r="J54" s="10">
        <f t="shared" si="0"/>
        <v>0</v>
      </c>
    </row>
    <row r="55" spans="5:7" ht="12.75" customHeight="1">
      <c r="E55" s="3"/>
      <c r="G55" s="3"/>
    </row>
    <row r="56" spans="4:7" ht="12.75" customHeight="1">
      <c r="D56" s="7"/>
      <c r="E56" s="4"/>
      <c r="F56" s="7"/>
      <c r="G56" s="4"/>
    </row>
    <row r="57" spans="4:7" ht="5.25" customHeight="1">
      <c r="D57" s="7"/>
      <c r="E57" s="8"/>
      <c r="F57" s="7"/>
      <c r="G57" s="8"/>
    </row>
    <row r="58" spans="4:7" ht="12.75" customHeight="1" thickBot="1">
      <c r="D58" s="7"/>
      <c r="E58" s="5">
        <f>SUM(E49:E56)</f>
        <v>178605</v>
      </c>
      <c r="F58" s="7"/>
      <c r="G58" s="5">
        <f>SUM(G49:G56)</f>
        <v>176124</v>
      </c>
    </row>
    <row r="59" spans="4:7" ht="13.5" thickTop="1">
      <c r="D59" s="7"/>
      <c r="E59" s="8"/>
      <c r="F59" s="7"/>
      <c r="G59" s="8"/>
    </row>
    <row r="60" spans="2:7" ht="12.75">
      <c r="B60" t="s">
        <v>40</v>
      </c>
      <c r="D60" s="7"/>
      <c r="E60" s="24">
        <f>ROUND((E49+E51)/E45,4)</f>
        <v>1.6764</v>
      </c>
      <c r="F60" s="7"/>
      <c r="G60" s="24">
        <f>ROUND((G49+G51)/G45,4)</f>
        <v>1.6687</v>
      </c>
    </row>
    <row r="61" spans="4:7" ht="12.75">
      <c r="D61" s="7"/>
      <c r="E61" s="8"/>
      <c r="F61" s="7"/>
      <c r="G61" s="8"/>
    </row>
    <row r="62" spans="4:7" ht="12.75">
      <c r="D62" s="7"/>
      <c r="E62" s="8"/>
      <c r="F62" s="7"/>
      <c r="G62" s="8"/>
    </row>
    <row r="63" spans="5:7" ht="12.75">
      <c r="E63" s="10"/>
      <c r="G63" s="10"/>
    </row>
    <row r="64" ht="12.75">
      <c r="B64" s="2" t="s">
        <v>26</v>
      </c>
    </row>
    <row r="65" ht="12.75">
      <c r="B65" s="2" t="s">
        <v>81</v>
      </c>
    </row>
  </sheetData>
  <printOptions/>
  <pageMargins left="0.7480314960629921" right="0.31" top="0.5" bottom="0.7874015748031497" header="0.24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72"/>
  <sheetViews>
    <sheetView workbookViewId="0" topLeftCell="A44">
      <selection activeCell="A27" sqref="A27:IV27"/>
    </sheetView>
  </sheetViews>
  <sheetFormatPr defaultColWidth="9.140625" defaultRowHeight="12.75"/>
  <cols>
    <col min="1" max="2" width="1.7109375" style="0" customWidth="1"/>
    <col min="3" max="3" width="20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5.7109375" style="0" customWidth="1"/>
    <col min="9" max="9" width="12.7109375" style="0" customWidth="1"/>
    <col min="10" max="10" width="2.7109375" style="0" customWidth="1"/>
    <col min="11" max="11" width="12.7109375" style="0" customWidth="1"/>
  </cols>
  <sheetData>
    <row r="2" spans="2:3" ht="16.5">
      <c r="B2" s="15" t="s">
        <v>0</v>
      </c>
      <c r="C2" s="15"/>
    </row>
    <row r="3" spans="2:3" ht="12.75">
      <c r="B3" s="2"/>
      <c r="C3" s="2"/>
    </row>
    <row r="4" spans="2:3" ht="15.75">
      <c r="B4" s="13" t="s">
        <v>20</v>
      </c>
      <c r="C4" s="13"/>
    </row>
    <row r="5" spans="2:3" ht="12.75">
      <c r="B5" s="2" t="s">
        <v>90</v>
      </c>
      <c r="C5" s="2"/>
    </row>
    <row r="6" spans="2:3" ht="12.75">
      <c r="B6" s="2"/>
      <c r="C6" s="2"/>
    </row>
    <row r="7" spans="2:3" ht="12.75">
      <c r="B7" s="2"/>
      <c r="C7" s="2"/>
    </row>
    <row r="8" spans="5:10" ht="12.75">
      <c r="E8" s="1"/>
      <c r="F8" s="11" t="s">
        <v>89</v>
      </c>
      <c r="G8" s="1"/>
      <c r="H8" s="1"/>
      <c r="J8" s="11" t="s">
        <v>88</v>
      </c>
    </row>
    <row r="9" spans="5:11" ht="12.75">
      <c r="E9" s="53" t="s">
        <v>21</v>
      </c>
      <c r="F9" s="53"/>
      <c r="G9" s="53"/>
      <c r="H9" s="12"/>
      <c r="I9" s="53" t="s">
        <v>93</v>
      </c>
      <c r="J9" s="53"/>
      <c r="K9" s="53"/>
    </row>
    <row r="10" spans="5:11" ht="12.75">
      <c r="E10" s="54" t="s">
        <v>91</v>
      </c>
      <c r="F10" s="55"/>
      <c r="G10" s="55"/>
      <c r="H10" s="12"/>
      <c r="I10" s="55" t="str">
        <f>E10</f>
        <v>30 June</v>
      </c>
      <c r="J10" s="55"/>
      <c r="K10" s="55"/>
    </row>
    <row r="11" spans="5:11" ht="12.75">
      <c r="E11" s="11">
        <v>2004</v>
      </c>
      <c r="F11" s="12"/>
      <c r="G11" s="11">
        <v>2003</v>
      </c>
      <c r="H11" s="12"/>
      <c r="I11" s="11">
        <v>2004</v>
      </c>
      <c r="J11" s="12"/>
      <c r="K11" s="11">
        <v>2003</v>
      </c>
    </row>
    <row r="12" spans="5:11" ht="12.75">
      <c r="E12" s="11" t="s">
        <v>2</v>
      </c>
      <c r="F12" s="12"/>
      <c r="G12" s="11" t="s">
        <v>2</v>
      </c>
      <c r="H12" s="12"/>
      <c r="I12" s="11" t="s">
        <v>2</v>
      </c>
      <c r="J12" s="17"/>
      <c r="K12" s="11" t="s">
        <v>2</v>
      </c>
    </row>
    <row r="13" spans="2:11" ht="12.75">
      <c r="B13" s="7"/>
      <c r="C13" s="7"/>
      <c r="D13" s="7"/>
      <c r="E13" s="19"/>
      <c r="F13" s="20"/>
      <c r="G13" s="19"/>
      <c r="H13" s="20"/>
      <c r="I13" s="19"/>
      <c r="J13" s="8"/>
      <c r="K13" s="4"/>
    </row>
    <row r="14" spans="2:11" ht="12.75">
      <c r="B14" s="7"/>
      <c r="C14" s="7"/>
      <c r="D14" s="7"/>
      <c r="E14" s="21"/>
      <c r="F14" s="20"/>
      <c r="G14" s="21"/>
      <c r="H14" s="20"/>
      <c r="I14" s="21"/>
      <c r="J14" s="8"/>
      <c r="K14" s="3"/>
    </row>
    <row r="15" spans="2:11" ht="12.75">
      <c r="B15" s="7" t="s">
        <v>1</v>
      </c>
      <c r="C15" s="7"/>
      <c r="D15" s="7"/>
      <c r="E15" s="3">
        <f>25131</f>
        <v>25131</v>
      </c>
      <c r="F15" s="8"/>
      <c r="G15" s="3">
        <v>30936</v>
      </c>
      <c r="H15" s="8"/>
      <c r="I15" s="52">
        <f>48711</f>
        <v>48711</v>
      </c>
      <c r="J15" s="8"/>
      <c r="K15" s="3">
        <v>57396</v>
      </c>
    </row>
    <row r="16" spans="2:11" ht="12.75">
      <c r="B16" s="7"/>
      <c r="C16" s="7"/>
      <c r="D16" s="7"/>
      <c r="E16" s="4"/>
      <c r="F16" s="8"/>
      <c r="G16" s="4"/>
      <c r="H16" s="8"/>
      <c r="I16" s="4"/>
      <c r="J16" s="8"/>
      <c r="K16" s="4"/>
    </row>
    <row r="17" spans="2:11" ht="12.75">
      <c r="B17" s="7"/>
      <c r="C17" s="7"/>
      <c r="D17" s="7"/>
      <c r="E17" s="3"/>
      <c r="F17" s="8"/>
      <c r="G17" s="3"/>
      <c r="H17" s="8"/>
      <c r="I17" s="3"/>
      <c r="J17" s="8"/>
      <c r="K17" s="3"/>
    </row>
    <row r="18" spans="2:11" ht="12.75">
      <c r="B18" t="s">
        <v>34</v>
      </c>
      <c r="E18" s="3">
        <f>3690+71-400</f>
        <v>3361</v>
      </c>
      <c r="F18" s="8"/>
      <c r="G18" s="3">
        <v>3535</v>
      </c>
      <c r="H18" s="8"/>
      <c r="I18" s="52">
        <f>6699-400</f>
        <v>6299</v>
      </c>
      <c r="J18" s="8"/>
      <c r="K18" s="3">
        <v>5712</v>
      </c>
    </row>
    <row r="19" spans="5:11" ht="12.75">
      <c r="E19" s="3"/>
      <c r="F19" s="8"/>
      <c r="G19" s="3"/>
      <c r="H19" s="8"/>
      <c r="I19" s="3"/>
      <c r="J19" s="8"/>
      <c r="K19" s="3"/>
    </row>
    <row r="20" spans="2:11" ht="12.75">
      <c r="B20" t="s">
        <v>10</v>
      </c>
      <c r="E20" s="3">
        <f>524-267</f>
        <v>257</v>
      </c>
      <c r="F20" s="8"/>
      <c r="G20" s="3">
        <v>166</v>
      </c>
      <c r="H20" s="8"/>
      <c r="I20" s="3">
        <v>524</v>
      </c>
      <c r="J20" s="3"/>
      <c r="K20" s="3">
        <v>350</v>
      </c>
    </row>
    <row r="21" spans="2:11" ht="12.75">
      <c r="B21" t="s">
        <v>9</v>
      </c>
      <c r="E21" s="8">
        <f>-689+361</f>
        <v>-328</v>
      </c>
      <c r="F21" s="8"/>
      <c r="G21" s="8">
        <v>-87</v>
      </c>
      <c r="H21" s="8"/>
      <c r="I21" s="8">
        <v>-689</v>
      </c>
      <c r="J21" s="8"/>
      <c r="K21" s="8">
        <v>-159</v>
      </c>
    </row>
    <row r="22" spans="5:11" ht="12.75">
      <c r="E22" s="4"/>
      <c r="F22" s="8"/>
      <c r="G22" s="4"/>
      <c r="H22" s="8"/>
      <c r="I22" s="4"/>
      <c r="J22" s="8"/>
      <c r="K22" s="4"/>
    </row>
    <row r="23" spans="5:11" ht="12.75">
      <c r="E23" s="3"/>
      <c r="F23" s="8"/>
      <c r="G23" s="3"/>
      <c r="H23" s="8"/>
      <c r="I23" s="3"/>
      <c r="J23" s="3"/>
      <c r="K23" s="3"/>
    </row>
    <row r="24" spans="2:11" ht="12.75">
      <c r="B24" t="s">
        <v>22</v>
      </c>
      <c r="E24" s="3">
        <f>E18+E20+E21</f>
        <v>3290</v>
      </c>
      <c r="F24" s="8"/>
      <c r="G24" s="3">
        <f>SUM(G18:G22)</f>
        <v>3614</v>
      </c>
      <c r="H24" s="8"/>
      <c r="I24" s="3">
        <f>I18+I20+I21</f>
        <v>6134</v>
      </c>
      <c r="J24" s="3"/>
      <c r="K24" s="3">
        <f>SUM(K18:K22)</f>
        <v>5903</v>
      </c>
    </row>
    <row r="25" spans="5:11" ht="12.75">
      <c r="E25" s="3"/>
      <c r="F25" s="8"/>
      <c r="G25" s="3"/>
      <c r="H25" s="8"/>
      <c r="I25" s="3"/>
      <c r="J25" s="3"/>
      <c r="K25" s="3"/>
    </row>
    <row r="26" spans="2:11" ht="12.75">
      <c r="B26" t="s">
        <v>3</v>
      </c>
      <c r="E26" s="8">
        <f>-594-267+112</f>
        <v>-749</v>
      </c>
      <c r="F26" s="8"/>
      <c r="G26" s="8">
        <v>-951</v>
      </c>
      <c r="H26" s="8"/>
      <c r="I26" s="8">
        <f>-1094-267+112</f>
        <v>-1249</v>
      </c>
      <c r="J26" s="8"/>
      <c r="K26" s="8">
        <v>-1165</v>
      </c>
    </row>
    <row r="27" spans="2:11" ht="12.75" hidden="1">
      <c r="B27" t="s">
        <v>78</v>
      </c>
      <c r="E27" s="8">
        <v>0</v>
      </c>
      <c r="F27" s="8"/>
      <c r="G27" s="8">
        <v>0</v>
      </c>
      <c r="H27" s="8"/>
      <c r="I27" s="8">
        <v>0</v>
      </c>
      <c r="J27" s="8"/>
      <c r="K27" s="8">
        <v>0</v>
      </c>
    </row>
    <row r="28" spans="5:11" ht="12.75">
      <c r="E28" s="4"/>
      <c r="F28" s="8"/>
      <c r="G28" s="4"/>
      <c r="H28" s="8"/>
      <c r="I28" s="4"/>
      <c r="J28" s="8"/>
      <c r="K28" s="4"/>
    </row>
    <row r="29" spans="5:11" ht="12.75">
      <c r="E29" s="8"/>
      <c r="F29" s="8"/>
      <c r="G29" s="8"/>
      <c r="H29" s="8"/>
      <c r="I29" s="8"/>
      <c r="J29" s="8"/>
      <c r="K29" s="8"/>
    </row>
    <row r="30" spans="2:11" ht="12.75">
      <c r="B30" t="s">
        <v>23</v>
      </c>
      <c r="E30" s="8">
        <f>SUM(E24:E28)</f>
        <v>2541</v>
      </c>
      <c r="F30" s="8"/>
      <c r="G30" s="8">
        <f>SUM(G24:G28)</f>
        <v>2663</v>
      </c>
      <c r="H30" s="8"/>
      <c r="I30" s="8">
        <f>SUM(I24:I28)</f>
        <v>4885</v>
      </c>
      <c r="J30" s="8"/>
      <c r="K30" s="8">
        <f>SUM(K24:K28)</f>
        <v>4738</v>
      </c>
    </row>
    <row r="31" spans="5:11" ht="12.75">
      <c r="E31" s="4"/>
      <c r="F31" s="8"/>
      <c r="G31" s="4"/>
      <c r="H31" s="8"/>
      <c r="I31" s="4"/>
      <c r="J31" s="8"/>
      <c r="K31" s="4"/>
    </row>
    <row r="32" spans="5:11" ht="12.75">
      <c r="E32" s="8"/>
      <c r="F32" s="8"/>
      <c r="G32" s="8"/>
      <c r="H32" s="8"/>
      <c r="I32" s="8"/>
      <c r="J32" s="8"/>
      <c r="K32" s="8"/>
    </row>
    <row r="33" spans="2:11" ht="13.5" thickBot="1">
      <c r="B33" t="s">
        <v>8</v>
      </c>
      <c r="E33" s="5">
        <f>SUM(E30:E31)</f>
        <v>2541</v>
      </c>
      <c r="F33" s="8"/>
      <c r="G33" s="5">
        <f>SUM(G30:G31)</f>
        <v>2663</v>
      </c>
      <c r="H33" s="8"/>
      <c r="I33" s="5">
        <f>SUM(I30:I31)</f>
        <v>4885</v>
      </c>
      <c r="J33" s="8"/>
      <c r="K33" s="5">
        <f>SUM(K30:K31)</f>
        <v>4738</v>
      </c>
    </row>
    <row r="34" spans="5:11" ht="13.5" thickTop="1">
      <c r="E34" s="8"/>
      <c r="F34" s="8"/>
      <c r="G34" s="8"/>
      <c r="H34" s="8"/>
      <c r="I34" s="8"/>
      <c r="J34" s="7"/>
      <c r="K34" s="8"/>
    </row>
    <row r="35" spans="5:11" ht="12.75">
      <c r="E35" s="8"/>
      <c r="F35" s="8"/>
      <c r="G35" s="8"/>
      <c r="H35" s="8"/>
      <c r="I35" s="8"/>
      <c r="J35" s="7"/>
      <c r="K35" s="8"/>
    </row>
    <row r="36" spans="5:11" ht="12.75">
      <c r="E36" s="3"/>
      <c r="F36" s="8"/>
      <c r="G36" s="3"/>
      <c r="H36" s="8"/>
      <c r="I36" s="3"/>
      <c r="K36" s="3"/>
    </row>
    <row r="37" spans="2:11" ht="13.5" thickBot="1">
      <c r="B37" t="s">
        <v>4</v>
      </c>
      <c r="E37" s="43">
        <f>+'[1]NewEPS'!$G$35</f>
        <v>2.5759905381431105</v>
      </c>
      <c r="F37" s="44"/>
      <c r="G37" s="43">
        <v>3.6</v>
      </c>
      <c r="H37" s="44"/>
      <c r="I37" s="43">
        <f>+'[1]NewEPS'!$H$35</f>
        <v>4.978961297961361</v>
      </c>
      <c r="J37" s="45"/>
      <c r="K37" s="43">
        <v>6.4</v>
      </c>
    </row>
    <row r="38" spans="5:11" ht="13.5" thickTop="1">
      <c r="E38" s="46"/>
      <c r="F38" s="44"/>
      <c r="G38" s="46"/>
      <c r="H38" s="44"/>
      <c r="I38" s="46"/>
      <c r="J38" s="45"/>
      <c r="K38" s="46"/>
    </row>
    <row r="39" spans="2:11" ht="13.5" thickBot="1">
      <c r="B39" t="s">
        <v>71</v>
      </c>
      <c r="E39" s="43">
        <f>+'[1]NewEPS'!$G$36</f>
        <v>2.561074241268348</v>
      </c>
      <c r="F39" s="44"/>
      <c r="G39" s="43">
        <v>3.6</v>
      </c>
      <c r="H39" s="44"/>
      <c r="I39" s="43">
        <f>+'[1]NewEPS'!$H$36</f>
        <v>4.949976082385832</v>
      </c>
      <c r="J39" s="45"/>
      <c r="K39" s="43">
        <v>6.4</v>
      </c>
    </row>
    <row r="40" spans="5:11" ht="13.5" thickTop="1">
      <c r="E40" s="3"/>
      <c r="F40" s="8"/>
      <c r="G40" s="3"/>
      <c r="H40" s="8"/>
      <c r="I40" s="3"/>
      <c r="K40" s="3"/>
    </row>
    <row r="41" spans="5:11" ht="12.75">
      <c r="E41" s="3"/>
      <c r="F41" s="8"/>
      <c r="G41" s="3"/>
      <c r="H41" s="8"/>
      <c r="I41" s="3"/>
      <c r="K41" s="3"/>
    </row>
    <row r="42" spans="5:11" ht="12.75">
      <c r="E42" s="3"/>
      <c r="F42" s="8"/>
      <c r="G42" s="3"/>
      <c r="H42" s="8"/>
      <c r="I42" s="3"/>
      <c r="K42" s="3"/>
    </row>
    <row r="43" spans="5:11" ht="12.75">
      <c r="E43" s="3"/>
      <c r="F43" s="8"/>
      <c r="G43" s="3"/>
      <c r="H43" s="8"/>
      <c r="I43" s="3"/>
      <c r="K43" s="3"/>
    </row>
    <row r="44" spans="5:11" ht="12.75">
      <c r="E44" s="3"/>
      <c r="F44" s="8"/>
      <c r="G44" s="3"/>
      <c r="H44" s="8"/>
      <c r="I44" s="3"/>
      <c r="K44" s="3"/>
    </row>
    <row r="45" spans="5:11" ht="12.75">
      <c r="E45" s="3"/>
      <c r="F45" s="8"/>
      <c r="G45" s="3"/>
      <c r="H45" s="8"/>
      <c r="I45" s="3"/>
      <c r="K45" s="3"/>
    </row>
    <row r="46" spans="5:11" ht="12.75">
      <c r="E46" s="3"/>
      <c r="F46" s="8"/>
      <c r="G46" s="3"/>
      <c r="H46" s="8"/>
      <c r="I46" s="3"/>
      <c r="K46" s="3"/>
    </row>
    <row r="47" spans="5:11" ht="12.75">
      <c r="E47" s="3"/>
      <c r="F47" s="8"/>
      <c r="G47" s="3"/>
      <c r="H47" s="8"/>
      <c r="I47" s="3"/>
      <c r="K47" s="3"/>
    </row>
    <row r="48" spans="2:8" ht="12.75">
      <c r="B48" s="2" t="s">
        <v>24</v>
      </c>
      <c r="C48" s="2"/>
      <c r="F48" s="7"/>
      <c r="H48" s="7"/>
    </row>
    <row r="49" spans="2:8" ht="12.75">
      <c r="B49" s="2" t="s">
        <v>81</v>
      </c>
      <c r="C49" s="2"/>
      <c r="H49" s="7"/>
    </row>
    <row r="50" ht="12.75">
      <c r="H50" s="7"/>
    </row>
    <row r="51" ht="12.75">
      <c r="H51" s="7"/>
    </row>
    <row r="52" ht="12.75">
      <c r="H52" s="7"/>
    </row>
    <row r="53" ht="12.75">
      <c r="H53" s="7"/>
    </row>
    <row r="54" ht="12.75">
      <c r="H54" s="7"/>
    </row>
    <row r="55" ht="12.75">
      <c r="H55" s="7"/>
    </row>
    <row r="56" ht="12.75">
      <c r="H56" s="7"/>
    </row>
    <row r="57" ht="12.75">
      <c r="H57" s="7"/>
    </row>
    <row r="58" ht="12.75">
      <c r="H58" s="7"/>
    </row>
    <row r="59" ht="12.75">
      <c r="H59" s="7"/>
    </row>
    <row r="60" ht="12.75">
      <c r="H60" s="7"/>
    </row>
    <row r="61" ht="12.75">
      <c r="H61" s="7"/>
    </row>
    <row r="62" ht="12.75">
      <c r="H62" s="7"/>
    </row>
    <row r="63" ht="12.75">
      <c r="H63" s="7"/>
    </row>
    <row r="64" ht="12.75">
      <c r="H64" s="7"/>
    </row>
    <row r="65" ht="12.75">
      <c r="H65" s="7"/>
    </row>
    <row r="66" ht="12.75">
      <c r="H66" s="7"/>
    </row>
    <row r="67" ht="12.75">
      <c r="H67" s="7"/>
    </row>
    <row r="68" ht="12.75">
      <c r="H68" s="7"/>
    </row>
    <row r="69" ht="12.75">
      <c r="H69" s="7"/>
    </row>
    <row r="70" ht="12.75">
      <c r="H70" s="7"/>
    </row>
    <row r="71" ht="12.75">
      <c r="H71" s="7"/>
    </row>
    <row r="72" ht="12.75">
      <c r="H72" s="7"/>
    </row>
  </sheetData>
  <mergeCells count="4">
    <mergeCell ref="E9:G9"/>
    <mergeCell ref="I9:K9"/>
    <mergeCell ref="E10:G10"/>
    <mergeCell ref="I10:K10"/>
  </mergeCells>
  <printOptions/>
  <pageMargins left="0.66" right="0.33" top="0.43" bottom="1" header="0.19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"/>
  <sheetViews>
    <sheetView zoomScale="70" zoomScaleNormal="70" workbookViewId="0" topLeftCell="A1">
      <selection activeCell="L4" sqref="L4"/>
    </sheetView>
  </sheetViews>
  <sheetFormatPr defaultColWidth="9.140625" defaultRowHeight="12.75"/>
  <cols>
    <col min="1" max="1" width="0.85546875" style="0" customWidth="1"/>
    <col min="2" max="2" width="20.28125" style="0" customWidth="1"/>
    <col min="3" max="3" width="6.140625" style="0" customWidth="1"/>
    <col min="4" max="4" width="1.7109375" style="0" customWidth="1"/>
    <col min="5" max="5" width="12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2.7109375" style="0" customWidth="1"/>
    <col min="10" max="10" width="1.7109375" style="0" customWidth="1"/>
    <col min="11" max="11" width="12.7109375" style="0" customWidth="1"/>
  </cols>
  <sheetData>
    <row r="1" ht="5.25" customHeight="1"/>
    <row r="2" ht="16.5">
      <c r="B2" s="15" t="s">
        <v>0</v>
      </c>
    </row>
    <row r="3" ht="12.75">
      <c r="B3" s="2"/>
    </row>
    <row r="4" ht="15.75">
      <c r="B4" s="13" t="s">
        <v>36</v>
      </c>
    </row>
    <row r="5" ht="12.75">
      <c r="B5" s="14" t="s">
        <v>90</v>
      </c>
    </row>
    <row r="7" spans="2:11" ht="12.75">
      <c r="B7" s="2"/>
      <c r="C7" s="2"/>
      <c r="D7" s="2"/>
      <c r="E7" s="56" t="s">
        <v>31</v>
      </c>
      <c r="F7" s="56"/>
      <c r="G7" s="56"/>
      <c r="H7" s="11"/>
      <c r="I7" s="11" t="s">
        <v>32</v>
      </c>
      <c r="J7" s="2"/>
      <c r="K7" s="2"/>
    </row>
    <row r="8" spans="2:11" ht="12.75">
      <c r="B8" s="2"/>
      <c r="C8" s="2"/>
      <c r="D8" s="2"/>
      <c r="E8" s="11" t="s">
        <v>27</v>
      </c>
      <c r="F8" s="2"/>
      <c r="G8" s="11" t="s">
        <v>27</v>
      </c>
      <c r="H8" s="11"/>
      <c r="I8" s="11" t="s">
        <v>30</v>
      </c>
      <c r="J8" s="2"/>
      <c r="K8" s="2"/>
    </row>
    <row r="9" spans="2:11" ht="12.75">
      <c r="B9" s="2"/>
      <c r="C9" s="2"/>
      <c r="D9" s="2"/>
      <c r="E9" s="12" t="s">
        <v>29</v>
      </c>
      <c r="F9" s="17"/>
      <c r="G9" s="12" t="s">
        <v>28</v>
      </c>
      <c r="H9" s="12"/>
      <c r="I9" s="12" t="s">
        <v>37</v>
      </c>
      <c r="J9" s="17"/>
      <c r="K9" s="12" t="s">
        <v>7</v>
      </c>
    </row>
    <row r="10" spans="2:11" ht="12.75">
      <c r="B10" s="2"/>
      <c r="C10" s="2"/>
      <c r="D10" s="2"/>
      <c r="E10" s="12" t="s">
        <v>2</v>
      </c>
      <c r="F10" s="17"/>
      <c r="G10" s="12" t="s">
        <v>2</v>
      </c>
      <c r="H10" s="12"/>
      <c r="I10" s="12" t="s">
        <v>2</v>
      </c>
      <c r="J10" s="17"/>
      <c r="K10" s="12" t="s">
        <v>2</v>
      </c>
    </row>
    <row r="11" spans="2:11" ht="12.75">
      <c r="B11" s="2"/>
      <c r="C11" s="2"/>
      <c r="D11" s="2"/>
      <c r="E11" s="17"/>
      <c r="F11" s="17"/>
      <c r="G11" s="17"/>
      <c r="H11" s="17"/>
      <c r="I11" s="42"/>
      <c r="J11" s="17"/>
      <c r="K11" s="17"/>
    </row>
    <row r="12" spans="2:12" ht="12.75">
      <c r="B12" t="s">
        <v>80</v>
      </c>
      <c r="E12" s="3">
        <v>97529</v>
      </c>
      <c r="F12" s="3"/>
      <c r="G12" s="3">
        <v>22168</v>
      </c>
      <c r="H12" s="3"/>
      <c r="I12" s="3">
        <f>35614+540</f>
        <v>36154</v>
      </c>
      <c r="J12" s="3"/>
      <c r="K12" s="3">
        <f>SUM(E12:J12)</f>
        <v>155851</v>
      </c>
      <c r="L12" s="10"/>
    </row>
    <row r="13" spans="5:11" ht="12.75">
      <c r="E13" s="3"/>
      <c r="F13" s="3"/>
      <c r="G13" s="3"/>
      <c r="H13" s="3"/>
      <c r="I13" s="3"/>
      <c r="J13" s="3"/>
      <c r="K13" s="3"/>
    </row>
    <row r="14" spans="2:11" ht="12.75">
      <c r="B14" t="s">
        <v>69</v>
      </c>
      <c r="E14" s="3">
        <f>98+1522</f>
        <v>1620</v>
      </c>
      <c r="F14" s="3"/>
      <c r="G14" s="3">
        <f>16.75+7.75+380.5</f>
        <v>405</v>
      </c>
      <c r="H14" s="3"/>
      <c r="I14" s="3">
        <v>0</v>
      </c>
      <c r="J14" s="3"/>
      <c r="K14" s="3">
        <f>SUM(E14:J14)</f>
        <v>2025</v>
      </c>
    </row>
    <row r="15" spans="5:11" ht="12.75">
      <c r="E15" s="3"/>
      <c r="F15" s="3"/>
      <c r="G15" s="3"/>
      <c r="H15" s="3"/>
      <c r="I15" s="3"/>
      <c r="J15" s="3"/>
      <c r="K15" s="3"/>
    </row>
    <row r="16" spans="2:11" ht="12.75">
      <c r="B16" t="s">
        <v>8</v>
      </c>
      <c r="E16" s="3">
        <v>0</v>
      </c>
      <c r="F16" s="3"/>
      <c r="G16" s="3">
        <v>0</v>
      </c>
      <c r="H16" s="3"/>
      <c r="I16" s="23">
        <f>+'PartA1-Income'!I33</f>
        <v>4885</v>
      </c>
      <c r="J16" s="3"/>
      <c r="K16" s="3">
        <f>SUM(E16:J16)</f>
        <v>4885</v>
      </c>
    </row>
    <row r="17" spans="5:11" ht="12.75">
      <c r="E17" s="3"/>
      <c r="F17" s="3"/>
      <c r="G17" s="3"/>
      <c r="H17" s="3"/>
      <c r="I17" s="23"/>
      <c r="J17" s="3"/>
      <c r="K17" s="3"/>
    </row>
    <row r="18" spans="2:11" ht="12.75">
      <c r="B18" t="s">
        <v>63</v>
      </c>
      <c r="E18" s="3">
        <v>0</v>
      </c>
      <c r="F18" s="3"/>
      <c r="G18" s="3">
        <v>0</v>
      </c>
      <c r="H18" s="3"/>
      <c r="I18" s="23">
        <v>0</v>
      </c>
      <c r="J18" s="3"/>
      <c r="K18" s="3">
        <f>SUM(E18:J18)</f>
        <v>0</v>
      </c>
    </row>
    <row r="19" spans="5:11" ht="12.75" customHeight="1">
      <c r="E19" s="4"/>
      <c r="F19" s="3"/>
      <c r="G19" s="4"/>
      <c r="H19" s="8"/>
      <c r="I19" s="4"/>
      <c r="J19" s="3"/>
      <c r="K19" s="4"/>
    </row>
    <row r="20" spans="5:11" ht="5.25" customHeight="1">
      <c r="E20" s="8"/>
      <c r="F20" s="8"/>
      <c r="G20" s="8"/>
      <c r="H20" s="8"/>
      <c r="I20" s="8"/>
      <c r="J20" s="8"/>
      <c r="K20" s="8"/>
    </row>
    <row r="21" spans="2:12" ht="13.5" thickBot="1">
      <c r="B21" t="s">
        <v>92</v>
      </c>
      <c r="E21" s="5">
        <f>SUM(E12:E19)</f>
        <v>99149</v>
      </c>
      <c r="F21" s="8"/>
      <c r="G21" s="5">
        <f>SUM(G12:G19)</f>
        <v>22573</v>
      </c>
      <c r="H21" s="8"/>
      <c r="I21" s="5">
        <f>SUM(I12:I19)</f>
        <v>41039</v>
      </c>
      <c r="J21" s="8"/>
      <c r="K21" s="5">
        <f>SUM(K12:K19)</f>
        <v>162761</v>
      </c>
      <c r="L21" s="10"/>
    </row>
    <row r="22" spans="5:11" ht="13.5" thickTop="1">
      <c r="E22" s="8"/>
      <c r="F22" s="8"/>
      <c r="G22" s="8"/>
      <c r="H22" s="8"/>
      <c r="I22" s="8"/>
      <c r="J22" s="8"/>
      <c r="K22" s="8"/>
    </row>
    <row r="23" spans="5:11" ht="12.75">
      <c r="E23" s="8"/>
      <c r="F23" s="8"/>
      <c r="G23" s="8"/>
      <c r="H23" s="8"/>
      <c r="I23" s="8"/>
      <c r="J23" s="8"/>
      <c r="K23" s="8"/>
    </row>
    <row r="24" spans="5:11" ht="12.75">
      <c r="E24" s="8"/>
      <c r="F24" s="8"/>
      <c r="G24" s="8"/>
      <c r="H24" s="8"/>
      <c r="I24" s="8"/>
      <c r="J24" s="8"/>
      <c r="K24" s="8"/>
    </row>
    <row r="25" spans="2:11" ht="12.75">
      <c r="B25" t="s">
        <v>39</v>
      </c>
      <c r="E25" s="3">
        <v>74042</v>
      </c>
      <c r="F25" s="3"/>
      <c r="G25" s="3">
        <v>14105</v>
      </c>
      <c r="H25" s="3"/>
      <c r="I25" s="3">
        <v>25933</v>
      </c>
      <c r="J25" s="3"/>
      <c r="K25" s="3">
        <f>SUM(E25:J25)</f>
        <v>114080</v>
      </c>
    </row>
    <row r="26" spans="5:11" ht="12.75">
      <c r="E26" s="3"/>
      <c r="F26" s="3"/>
      <c r="G26" s="3"/>
      <c r="H26" s="3"/>
      <c r="I26" s="3"/>
      <c r="J26" s="3"/>
      <c r="K26" s="3"/>
    </row>
    <row r="27" spans="2:11" ht="12.75">
      <c r="B27" t="str">
        <f>+B14</f>
        <v>Issuance of share capital</v>
      </c>
      <c r="E27" s="3">
        <v>0</v>
      </c>
      <c r="F27" s="3"/>
      <c r="G27" s="3">
        <v>0</v>
      </c>
      <c r="H27" s="3"/>
      <c r="I27" s="3">
        <v>0</v>
      </c>
      <c r="J27" s="3"/>
      <c r="K27" s="3">
        <f>SUM(E27:J27)</f>
        <v>0</v>
      </c>
    </row>
    <row r="28" spans="5:11" ht="12.75">
      <c r="E28" s="3"/>
      <c r="F28" s="3"/>
      <c r="G28" s="3"/>
      <c r="H28" s="3"/>
      <c r="I28" s="3"/>
      <c r="J28" s="3"/>
      <c r="K28" s="3"/>
    </row>
    <row r="29" spans="2:11" ht="12.75">
      <c r="B29" t="s">
        <v>8</v>
      </c>
      <c r="E29" s="3">
        <v>0</v>
      </c>
      <c r="F29" s="3"/>
      <c r="G29" s="3">
        <v>0</v>
      </c>
      <c r="H29" s="3"/>
      <c r="I29" s="3">
        <v>4738</v>
      </c>
      <c r="J29" s="3"/>
      <c r="K29" s="3">
        <f>SUM(E29:J29)</f>
        <v>4738</v>
      </c>
    </row>
    <row r="30" spans="5:11" ht="12.75">
      <c r="E30" s="3"/>
      <c r="F30" s="3"/>
      <c r="G30" s="3"/>
      <c r="H30" s="3"/>
      <c r="I30" s="3"/>
      <c r="J30" s="3"/>
      <c r="K30" s="3"/>
    </row>
    <row r="31" spans="2:11" ht="12.75">
      <c r="B31" t="s">
        <v>63</v>
      </c>
      <c r="E31" s="3">
        <v>0</v>
      </c>
      <c r="F31" s="3"/>
      <c r="G31" s="3">
        <v>0</v>
      </c>
      <c r="H31" s="3"/>
      <c r="I31" s="3">
        <v>0</v>
      </c>
      <c r="J31" s="3"/>
      <c r="K31" s="3">
        <f>SUM(E31:J31)</f>
        <v>0</v>
      </c>
    </row>
    <row r="32" spans="5:11" ht="12.75" customHeight="1">
      <c r="E32" s="4"/>
      <c r="F32" s="3"/>
      <c r="G32" s="4"/>
      <c r="H32" s="8"/>
      <c r="I32" s="4"/>
      <c r="J32" s="3"/>
      <c r="K32" s="4"/>
    </row>
    <row r="33" spans="5:11" ht="5.25" customHeight="1">
      <c r="E33" s="8"/>
      <c r="F33" s="8"/>
      <c r="G33" s="8"/>
      <c r="H33" s="8"/>
      <c r="I33" s="8"/>
      <c r="J33" s="8"/>
      <c r="K33" s="8"/>
    </row>
    <row r="34" spans="2:11" ht="13.5" thickBot="1">
      <c r="B34" t="s">
        <v>94</v>
      </c>
      <c r="E34" s="5">
        <f>SUM(E25:E32)</f>
        <v>74042</v>
      </c>
      <c r="F34" s="8"/>
      <c r="G34" s="5">
        <f>SUM(G25:G32)</f>
        <v>14105</v>
      </c>
      <c r="H34" s="8"/>
      <c r="I34" s="5">
        <f>SUM(I25:I32)</f>
        <v>30671</v>
      </c>
      <c r="J34" s="8"/>
      <c r="K34" s="5">
        <f>SUM(K25:K32)</f>
        <v>118818</v>
      </c>
    </row>
    <row r="35" spans="1:11" ht="13.5" thickTop="1">
      <c r="A35" t="s">
        <v>70</v>
      </c>
      <c r="E35" s="8"/>
      <c r="F35" s="8"/>
      <c r="G35" s="8"/>
      <c r="H35" s="8"/>
      <c r="I35" s="8"/>
      <c r="J35" s="8"/>
      <c r="K35" s="8"/>
    </row>
    <row r="36" spans="5:11" ht="12.75">
      <c r="E36" s="8"/>
      <c r="F36" s="8"/>
      <c r="G36" s="8"/>
      <c r="H36" s="8"/>
      <c r="I36" s="8"/>
      <c r="J36" s="8"/>
      <c r="K36" s="8"/>
    </row>
    <row r="37" spans="5:11" ht="12.75">
      <c r="E37" s="8"/>
      <c r="F37" s="8"/>
      <c r="G37" s="8"/>
      <c r="H37" s="8"/>
      <c r="I37" s="8"/>
      <c r="J37" s="8"/>
      <c r="K37" s="8"/>
    </row>
    <row r="38" spans="5:11" ht="12.75">
      <c r="E38" s="8"/>
      <c r="F38" s="8"/>
      <c r="G38" s="8"/>
      <c r="H38" s="8"/>
      <c r="I38" s="8"/>
      <c r="J38" s="8"/>
      <c r="K38" s="8"/>
    </row>
    <row r="39" spans="5:11" ht="12.75">
      <c r="E39" s="8"/>
      <c r="F39" s="8"/>
      <c r="G39" s="8"/>
      <c r="H39" s="8"/>
      <c r="I39" s="8"/>
      <c r="J39" s="8"/>
      <c r="K39" s="8"/>
    </row>
    <row r="40" spans="5:11" ht="12.75">
      <c r="E40" s="8"/>
      <c r="F40" s="8"/>
      <c r="G40" s="8"/>
      <c r="H40" s="8"/>
      <c r="I40" s="8"/>
      <c r="J40" s="8"/>
      <c r="K40" s="8"/>
    </row>
    <row r="41" spans="5:11" ht="12.75">
      <c r="E41" s="8"/>
      <c r="F41" s="8"/>
      <c r="G41" s="8"/>
      <c r="H41" s="8"/>
      <c r="I41" s="8"/>
      <c r="J41" s="8"/>
      <c r="K41" s="8"/>
    </row>
    <row r="42" spans="5:11" ht="12.75">
      <c r="E42" s="8"/>
      <c r="F42" s="8"/>
      <c r="G42" s="8"/>
      <c r="H42" s="8"/>
      <c r="I42" s="8"/>
      <c r="J42" s="8"/>
      <c r="K42" s="8"/>
    </row>
    <row r="43" spans="5:11" ht="12.75">
      <c r="E43" s="8"/>
      <c r="F43" s="8"/>
      <c r="G43" s="8"/>
      <c r="H43" s="8"/>
      <c r="I43" s="8"/>
      <c r="J43" s="8"/>
      <c r="K43" s="8"/>
    </row>
    <row r="44" spans="5:11" ht="12.75">
      <c r="E44" s="8"/>
      <c r="F44" s="8"/>
      <c r="G44" s="8"/>
      <c r="H44" s="8"/>
      <c r="I44" s="8"/>
      <c r="J44" s="8"/>
      <c r="K44" s="8"/>
    </row>
    <row r="45" spans="2:11" ht="12.75">
      <c r="B45" s="2" t="s">
        <v>25</v>
      </c>
      <c r="E45" s="3"/>
      <c r="F45" s="3"/>
      <c r="G45" s="3"/>
      <c r="H45" s="3"/>
      <c r="I45" s="3"/>
      <c r="J45" s="3"/>
      <c r="K45" s="3"/>
    </row>
    <row r="46" spans="2:11" ht="12.75">
      <c r="B46" s="2" t="s">
        <v>81</v>
      </c>
      <c r="E46" s="3"/>
      <c r="F46" s="3"/>
      <c r="G46" s="3"/>
      <c r="H46" s="3"/>
      <c r="I46" s="3"/>
      <c r="J46" s="3"/>
      <c r="K46" s="3"/>
    </row>
    <row r="47" spans="5:11" ht="12.75">
      <c r="E47" s="3"/>
      <c r="F47" s="3"/>
      <c r="G47" s="3"/>
      <c r="H47" s="3"/>
      <c r="I47" s="3"/>
      <c r="J47" s="3"/>
      <c r="K47" s="3"/>
    </row>
  </sheetData>
  <mergeCells count="1">
    <mergeCell ref="E7:G7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72"/>
  <sheetViews>
    <sheetView tabSelected="1" workbookViewId="0" topLeftCell="A47">
      <selection activeCell="D67" sqref="D67"/>
    </sheetView>
  </sheetViews>
  <sheetFormatPr defaultColWidth="9.140625" defaultRowHeight="12.75"/>
  <cols>
    <col min="1" max="1" width="1.7109375" style="25" customWidth="1"/>
    <col min="2" max="3" width="2.7109375" style="25" customWidth="1"/>
    <col min="4" max="4" width="32.421875" style="25" customWidth="1"/>
    <col min="5" max="5" width="13.140625" style="25" customWidth="1"/>
    <col min="6" max="6" width="12.421875" style="25" customWidth="1"/>
    <col min="7" max="7" width="15.00390625" style="25" bestFit="1" customWidth="1"/>
    <col min="8" max="8" width="5.7109375" style="25" customWidth="1"/>
    <col min="9" max="9" width="15.00390625" style="25" bestFit="1" customWidth="1"/>
    <col min="10" max="10" width="9.28125" style="25" customWidth="1"/>
  </cols>
  <sheetData>
    <row r="2" ht="15">
      <c r="B2" s="47" t="s">
        <v>0</v>
      </c>
    </row>
    <row r="3" ht="12.75">
      <c r="B3" s="2"/>
    </row>
    <row r="4" ht="12.75">
      <c r="B4" s="2" t="s">
        <v>35</v>
      </c>
    </row>
    <row r="5" ht="12.75">
      <c r="B5" s="14" t="s">
        <v>90</v>
      </c>
    </row>
    <row r="6" ht="12.75">
      <c r="I6" s="48"/>
    </row>
    <row r="7" spans="7:9" ht="12.75">
      <c r="G7" s="50" t="s">
        <v>91</v>
      </c>
      <c r="I7" s="16" t="s">
        <v>91</v>
      </c>
    </row>
    <row r="8" spans="7:9" ht="12.75">
      <c r="G8" s="16" t="s">
        <v>79</v>
      </c>
      <c r="I8" s="16" t="s">
        <v>41</v>
      </c>
    </row>
    <row r="9" spans="7:9" ht="12.75">
      <c r="G9" s="11" t="s">
        <v>2</v>
      </c>
      <c r="I9" s="11" t="s">
        <v>2</v>
      </c>
    </row>
    <row r="10" spans="2:9" ht="12.75">
      <c r="B10" s="2" t="s">
        <v>53</v>
      </c>
      <c r="G10" s="31"/>
      <c r="I10" s="31"/>
    </row>
    <row r="11" spans="3:10" ht="12.75">
      <c r="C11" s="25" t="s">
        <v>22</v>
      </c>
      <c r="G11" s="26">
        <v>6134</v>
      </c>
      <c r="I11" s="26">
        <v>5903</v>
      </c>
      <c r="J11" s="41"/>
    </row>
    <row r="12" spans="3:9" ht="12.75">
      <c r="C12" s="25" t="s">
        <v>42</v>
      </c>
      <c r="G12" s="32"/>
      <c r="I12" s="32"/>
    </row>
    <row r="13" spans="4:9" ht="12.75">
      <c r="D13" s="25" t="s">
        <v>43</v>
      </c>
      <c r="G13" s="51">
        <f>3252+507</f>
        <v>3759</v>
      </c>
      <c r="I13" s="26">
        <v>2100</v>
      </c>
    </row>
    <row r="14" spans="4:9" ht="12.75">
      <c r="D14" s="25" t="s">
        <v>44</v>
      </c>
      <c r="G14" s="51">
        <v>-117</v>
      </c>
      <c r="I14" s="26">
        <v>-129</v>
      </c>
    </row>
    <row r="15" spans="4:9" ht="12.75">
      <c r="D15" s="25" t="s">
        <v>9</v>
      </c>
      <c r="G15" s="26">
        <f>-'PartA1-Income'!I21</f>
        <v>689</v>
      </c>
      <c r="I15" s="26">
        <v>159</v>
      </c>
    </row>
    <row r="16" spans="4:9" ht="12.75">
      <c r="D16" s="25" t="s">
        <v>10</v>
      </c>
      <c r="G16" s="26">
        <f>-'PartA1-Income'!I20</f>
        <v>-524</v>
      </c>
      <c r="I16" s="26">
        <v>-350</v>
      </c>
    </row>
    <row r="17" spans="4:9" ht="12.75">
      <c r="D17" s="25" t="s">
        <v>54</v>
      </c>
      <c r="G17" s="26">
        <v>-3447</v>
      </c>
      <c r="I17" s="26">
        <v>-3447</v>
      </c>
    </row>
    <row r="18" spans="7:9" ht="12.75">
      <c r="G18" s="33"/>
      <c r="I18" s="33"/>
    </row>
    <row r="19" spans="3:9" ht="12.75">
      <c r="C19" s="25" t="s">
        <v>55</v>
      </c>
      <c r="G19" s="26">
        <f>SUM(G11:G18)</f>
        <v>6494</v>
      </c>
      <c r="I19" s="26">
        <f>SUM(I11:I18)</f>
        <v>4236</v>
      </c>
    </row>
    <row r="20" spans="7:9" ht="12.75">
      <c r="G20" s="32"/>
      <c r="I20" s="32"/>
    </row>
    <row r="21" spans="3:9" ht="12.75">
      <c r="C21" s="25" t="s">
        <v>45</v>
      </c>
      <c r="G21" s="32"/>
      <c r="I21" s="32"/>
    </row>
    <row r="22" spans="4:9" ht="12.75">
      <c r="D22" s="25" t="s">
        <v>82</v>
      </c>
      <c r="G22" s="26">
        <f>(+BalanceSheet!G21-BalanceSheet!E21)+(BalanceSheet!G14-BalanceSheet!E14)</f>
        <v>-5592</v>
      </c>
      <c r="I22" s="26">
        <v>-32258</v>
      </c>
    </row>
    <row r="23" spans="4:9" ht="12.75">
      <c r="D23" s="25" t="s">
        <v>5</v>
      </c>
      <c r="G23" s="26">
        <f>+BalanceSheet!G20-BalanceSheet!E20</f>
        <v>2116</v>
      </c>
      <c r="I23" s="26">
        <v>-2485</v>
      </c>
    </row>
    <row r="24" spans="4:9" ht="12.75">
      <c r="D24" s="25" t="s">
        <v>61</v>
      </c>
      <c r="G24" s="26">
        <f>+BalanceSheet!G22-BalanceSheet!E22+41</f>
        <v>4018</v>
      </c>
      <c r="I24" s="26">
        <v>16830</v>
      </c>
    </row>
    <row r="25" spans="4:9" ht="12.75">
      <c r="D25" s="25" t="s">
        <v>56</v>
      </c>
      <c r="G25" s="26">
        <f>+BalanceSheet!E30-BalanceSheet!G30-120</f>
        <v>-3219</v>
      </c>
      <c r="I25" s="26">
        <v>7121</v>
      </c>
    </row>
    <row r="26" spans="7:9" ht="12.75">
      <c r="G26" s="33"/>
      <c r="I26" s="33"/>
    </row>
    <row r="27" spans="3:9" ht="12.75">
      <c r="C27" s="40" t="s">
        <v>74</v>
      </c>
      <c r="G27" s="26">
        <f>SUM(G19:G26)</f>
        <v>3817</v>
      </c>
      <c r="I27" s="26">
        <f>SUM(I19:I26)</f>
        <v>-6556</v>
      </c>
    </row>
    <row r="28" spans="7:9" ht="12.75">
      <c r="G28" s="32"/>
      <c r="I28" s="32"/>
    </row>
    <row r="29" spans="3:9" ht="12.75">
      <c r="C29" s="25" t="s">
        <v>46</v>
      </c>
      <c r="G29" s="26">
        <f>-1115</f>
        <v>-1115</v>
      </c>
      <c r="I29" s="26">
        <v>-2725</v>
      </c>
    </row>
    <row r="30" spans="7:9" ht="12.75">
      <c r="G30" s="33"/>
      <c r="I30" s="33"/>
    </row>
    <row r="31" spans="3:9" ht="12.75">
      <c r="C31" s="14" t="s">
        <v>75</v>
      </c>
      <c r="G31" s="27">
        <f>SUM(G27:G30)</f>
        <v>2702</v>
      </c>
      <c r="I31" s="27">
        <f>SUM(I27:I30)</f>
        <v>-9281</v>
      </c>
    </row>
    <row r="32" spans="7:9" ht="12.75">
      <c r="G32" s="32"/>
      <c r="I32" s="32"/>
    </row>
    <row r="33" spans="2:9" ht="12.75">
      <c r="B33" s="2" t="s">
        <v>57</v>
      </c>
      <c r="G33" s="32"/>
      <c r="I33" s="32"/>
    </row>
    <row r="34" spans="3:9" ht="12.75">
      <c r="C34" s="25" t="s">
        <v>47</v>
      </c>
      <c r="G34" s="26">
        <f>-G16</f>
        <v>524</v>
      </c>
      <c r="I34" s="26">
        <v>350</v>
      </c>
    </row>
    <row r="35" spans="3:9" ht="12.75">
      <c r="C35" s="25" t="s">
        <v>62</v>
      </c>
      <c r="G35" s="26">
        <v>0</v>
      </c>
      <c r="I35" s="26">
        <v>2086</v>
      </c>
    </row>
    <row r="36" spans="3:9" ht="12.75">
      <c r="C36" s="25" t="s">
        <v>48</v>
      </c>
      <c r="G36" s="51">
        <f>-3372</f>
        <v>-3372</v>
      </c>
      <c r="I36" s="26">
        <v>-866</v>
      </c>
    </row>
    <row r="37" spans="3:9" ht="12.75">
      <c r="C37" s="25" t="s">
        <v>49</v>
      </c>
      <c r="G37" s="51">
        <v>532</v>
      </c>
      <c r="I37" s="26">
        <v>175</v>
      </c>
    </row>
    <row r="38" spans="3:9" ht="12.75">
      <c r="C38" s="25" t="s">
        <v>50</v>
      </c>
      <c r="G38" s="26">
        <v>-874</v>
      </c>
      <c r="H38" s="34"/>
      <c r="I38" s="26">
        <v>-62</v>
      </c>
    </row>
    <row r="39" spans="7:9" ht="12.75">
      <c r="G39" s="32"/>
      <c r="H39" s="34"/>
      <c r="I39" s="32"/>
    </row>
    <row r="40" spans="3:9" ht="12.75">
      <c r="C40" s="14" t="s">
        <v>77</v>
      </c>
      <c r="G40" s="27">
        <f>SUM(G33:G39)</f>
        <v>-3190</v>
      </c>
      <c r="I40" s="27">
        <f>SUM(I33:I39)</f>
        <v>1683</v>
      </c>
    </row>
    <row r="41" spans="7:9" ht="12.75">
      <c r="G41" s="32"/>
      <c r="I41" s="32"/>
    </row>
    <row r="42" spans="2:9" ht="12.75">
      <c r="B42" s="2" t="s">
        <v>58</v>
      </c>
      <c r="G42" s="32"/>
      <c r="I42" s="32"/>
    </row>
    <row r="43" spans="2:9" ht="12.75">
      <c r="B43" s="2"/>
      <c r="C43" s="25" t="s">
        <v>64</v>
      </c>
      <c r="G43" s="32">
        <v>2025</v>
      </c>
      <c r="I43" s="32">
        <v>0</v>
      </c>
    </row>
    <row r="44" spans="2:9" ht="12.75">
      <c r="B44" s="2"/>
      <c r="C44" s="25" t="s">
        <v>65</v>
      </c>
      <c r="G44" s="32">
        <v>0</v>
      </c>
      <c r="I44" s="32">
        <v>0</v>
      </c>
    </row>
    <row r="45" spans="3:9" ht="12.75">
      <c r="C45" s="25" t="s">
        <v>51</v>
      </c>
      <c r="G45" s="26">
        <f>-G15</f>
        <v>-689</v>
      </c>
      <c r="I45" s="26">
        <v>-159</v>
      </c>
    </row>
    <row r="46" spans="3:9" ht="12.75">
      <c r="C46" s="25" t="s">
        <v>59</v>
      </c>
      <c r="G46" s="26">
        <f>-982-739</f>
        <v>-1721</v>
      </c>
      <c r="I46" s="26">
        <v>-973</v>
      </c>
    </row>
    <row r="47" spans="7:9" ht="12.75">
      <c r="G47" s="32"/>
      <c r="I47" s="32"/>
    </row>
    <row r="48" spans="3:9" ht="12.75">
      <c r="C48" s="2" t="s">
        <v>76</v>
      </c>
      <c r="G48" s="27">
        <f>SUM(G42:G47)</f>
        <v>-385</v>
      </c>
      <c r="I48" s="27">
        <f>SUM(I42:I47)</f>
        <v>-1132</v>
      </c>
    </row>
    <row r="49" spans="7:9" ht="12.75">
      <c r="G49" s="32"/>
      <c r="I49" s="32"/>
    </row>
    <row r="50" spans="2:9" ht="12.75">
      <c r="B50" s="14" t="s">
        <v>72</v>
      </c>
      <c r="G50" s="28">
        <f>G31+G40+G48</f>
        <v>-873</v>
      </c>
      <c r="I50" s="28">
        <f>I31+I40+I48</f>
        <v>-8730</v>
      </c>
    </row>
    <row r="51" spans="7:9" ht="12.75">
      <c r="G51" s="32"/>
      <c r="I51" s="32"/>
    </row>
    <row r="52" spans="2:9" ht="12.75">
      <c r="B52" s="14" t="s">
        <v>73</v>
      </c>
      <c r="G52" s="28">
        <v>39573</v>
      </c>
      <c r="I52" s="28">
        <v>28527</v>
      </c>
    </row>
    <row r="53" spans="7:9" ht="12.75">
      <c r="G53" s="32"/>
      <c r="I53" s="32"/>
    </row>
    <row r="54" spans="2:10" ht="13.5" thickBot="1">
      <c r="B54" s="2" t="s">
        <v>52</v>
      </c>
      <c r="G54" s="29">
        <f>SUM(G49:G53)</f>
        <v>38700</v>
      </c>
      <c r="I54" s="29">
        <f>SUM(I49:I53)</f>
        <v>19797</v>
      </c>
      <c r="J54" s="39"/>
    </row>
    <row r="55" spans="7:9" ht="13.5" thickTop="1">
      <c r="G55" s="32"/>
      <c r="I55" s="32"/>
    </row>
    <row r="56" spans="7:9" ht="12.75">
      <c r="G56" s="32"/>
      <c r="I56" s="32"/>
    </row>
    <row r="57" spans="7:9" ht="12.75">
      <c r="G57" s="32"/>
      <c r="I57" s="32"/>
    </row>
    <row r="58" spans="1:10" ht="12.75">
      <c r="A58" s="30"/>
      <c r="B58" s="30"/>
      <c r="C58" s="30" t="s">
        <v>66</v>
      </c>
      <c r="D58" s="30"/>
      <c r="E58" s="30"/>
      <c r="F58" s="30"/>
      <c r="G58" s="38">
        <v>43423</v>
      </c>
      <c r="H58" s="30"/>
      <c r="I58" s="38">
        <v>25959</v>
      </c>
      <c r="J58" s="30"/>
    </row>
    <row r="59" spans="1:10" ht="12.75">
      <c r="A59" s="30"/>
      <c r="B59" s="30"/>
      <c r="C59" s="30" t="s">
        <v>67</v>
      </c>
      <c r="D59" s="30"/>
      <c r="E59" s="30"/>
      <c r="F59" s="30"/>
      <c r="G59" s="37">
        <v>2412</v>
      </c>
      <c r="H59" s="30"/>
      <c r="I59" s="37">
        <f>1286-1254</f>
        <v>32</v>
      </c>
      <c r="J59" s="30"/>
    </row>
    <row r="60" spans="1:10" ht="12.75">
      <c r="A60" s="30"/>
      <c r="B60" s="30"/>
      <c r="C60" s="30"/>
      <c r="D60" s="30"/>
      <c r="E60" s="30"/>
      <c r="F60" s="30"/>
      <c r="G60" s="35">
        <f>SUM(G58:G59)</f>
        <v>45835</v>
      </c>
      <c r="H60" s="30"/>
      <c r="I60" s="35">
        <f>SUM(I58:I59)</f>
        <v>25991</v>
      </c>
      <c r="J60" s="30"/>
    </row>
    <row r="61" spans="1:10" ht="12.75">
      <c r="A61" s="30"/>
      <c r="B61" s="30"/>
      <c r="C61" s="30" t="s">
        <v>68</v>
      </c>
      <c r="D61" s="30"/>
      <c r="E61" s="30"/>
      <c r="F61" s="30"/>
      <c r="G61" s="35">
        <f>-3354-2981-800</f>
        <v>-7135</v>
      </c>
      <c r="H61" s="30"/>
      <c r="I61" s="35">
        <v>-6194</v>
      </c>
      <c r="J61" s="35"/>
    </row>
    <row r="62" spans="1:10" ht="13.5" thickBot="1">
      <c r="A62" s="30"/>
      <c r="B62" s="30"/>
      <c r="C62" s="30"/>
      <c r="D62" s="30"/>
      <c r="E62" s="30"/>
      <c r="F62" s="30"/>
      <c r="G62" s="36">
        <f>SUM(G60:G61)</f>
        <v>38700</v>
      </c>
      <c r="H62" s="30"/>
      <c r="I62" s="36">
        <f>SUM(I60:I61)</f>
        <v>19797</v>
      </c>
      <c r="J62" s="30"/>
    </row>
    <row r="63" spans="7:9" ht="13.5" thickTop="1">
      <c r="G63" s="39"/>
      <c r="I63" s="39"/>
    </row>
    <row r="64" ht="12.75">
      <c r="B64" s="2" t="s">
        <v>60</v>
      </c>
    </row>
    <row r="65" ht="12.75">
      <c r="B65" s="2" t="s">
        <v>81</v>
      </c>
    </row>
    <row r="66" spans="7:9" ht="12.75">
      <c r="G66" s="39"/>
      <c r="I66" s="39"/>
    </row>
    <row r="67" spans="7:9" ht="12.75">
      <c r="G67" s="39"/>
      <c r="I67" s="39"/>
    </row>
    <row r="68" ht="12.75">
      <c r="G68" s="39">
        <f>+G54-G62</f>
        <v>0</v>
      </c>
    </row>
    <row r="72" ht="12.75">
      <c r="A72" s="25" t="s">
        <v>70</v>
      </c>
    </row>
  </sheetData>
  <printOptions/>
  <pageMargins left="0.54" right="0.33" top="0.32" bottom="0.33" header="0.19" footer="0.17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George</cp:lastModifiedBy>
  <cp:lastPrinted>2004-08-23T09:22:53Z</cp:lastPrinted>
  <dcterms:created xsi:type="dcterms:W3CDTF">2002-09-11T00:02:08Z</dcterms:created>
  <dcterms:modified xsi:type="dcterms:W3CDTF">2004-08-23T09:23:27Z</dcterms:modified>
  <cp:category/>
  <cp:version/>
  <cp:contentType/>
  <cp:contentStatus/>
</cp:coreProperties>
</file>